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mand" sheetId="1" r:id="rId1"/>
    <sheet name="Generation" sheetId="2" r:id="rId2"/>
    <sheet name="ESO" sheetId="3" r:id="rId3"/>
    <sheet name="Distribution" sheetId="4" r:id="rId4"/>
    <sheet name="Final Prices" sheetId="5" r:id="rId5"/>
  </sheets>
  <definedNames/>
  <calcPr fullCalcOnLoad="1"/>
</workbook>
</file>

<file path=xl/sharedStrings.xml><?xml version="1.0" encoding="utf-8"?>
<sst xmlns="http://schemas.openxmlformats.org/spreadsheetml/2006/main" count="100" uniqueCount="86">
  <si>
    <t>MWh</t>
  </si>
  <si>
    <t>Процент</t>
  </si>
  <si>
    <t>Общо Потребление</t>
  </si>
  <si>
    <t>За Регулиран Пазар</t>
  </si>
  <si>
    <t>За Нерегулиран Пазар</t>
  </si>
  <si>
    <t>Забележка:  Прогнозите НЕ включват износ. Изготвени по прогнози на НЕК и ЕРД</t>
  </si>
  <si>
    <t>Прогнозирано Производство</t>
  </si>
  <si>
    <t>Задължително Изкупуване</t>
  </si>
  <si>
    <t>Цена на MWh</t>
  </si>
  <si>
    <t>Общо Разходи</t>
  </si>
  <si>
    <t xml:space="preserve">Процент </t>
  </si>
  <si>
    <t>Забележка</t>
  </si>
  <si>
    <t>Централа</t>
  </si>
  <si>
    <t>Регулиран Пазар</t>
  </si>
  <si>
    <t>Нерегулиран Пазар</t>
  </si>
  <si>
    <t>Енергия</t>
  </si>
  <si>
    <t>Разходи</t>
  </si>
  <si>
    <t>Задължително изкупуване</t>
  </si>
  <si>
    <t>ВЕИ</t>
  </si>
  <si>
    <t>100% задължително изкупуване</t>
  </si>
  <si>
    <t>Високоефективно - Топлофикации</t>
  </si>
  <si>
    <t>Високоефективно - Заводски</t>
  </si>
  <si>
    <t>ВЕЦ над 10 MW</t>
  </si>
  <si>
    <t>ВЕЦ над 10 MW - НЕК</t>
  </si>
  <si>
    <t>Марица Изток 1 (AES)</t>
  </si>
  <si>
    <t>85% задължително изкупуване</t>
  </si>
  <si>
    <t>Марица Изток 3 (Contour Global)</t>
  </si>
  <si>
    <t>82% задължително изкупуване</t>
  </si>
  <si>
    <t>Общо Задължително</t>
  </si>
  <si>
    <t>Свободен Пазар</t>
  </si>
  <si>
    <t>ТЕЦ Варна</t>
  </si>
  <si>
    <r>
      <t>Прогнозни Стойности (</t>
    </r>
    <r>
      <rPr>
        <b/>
        <sz val="11"/>
        <color indexed="8"/>
        <rFont val="Calibri"/>
        <family val="2"/>
      </rPr>
      <t>незадължитено</t>
    </r>
    <r>
      <rPr>
        <sz val="11"/>
        <color indexed="8"/>
        <rFont val="Calibri"/>
        <family val="2"/>
      </rPr>
      <t xml:space="preserve"> изкупуване) в червено</t>
    </r>
  </si>
  <si>
    <t>Тец Марица 2</t>
  </si>
  <si>
    <t>АЕЦ</t>
  </si>
  <si>
    <t>Общо Свободен Пазар</t>
  </si>
  <si>
    <t>ОБЩО</t>
  </si>
  <si>
    <t>Обществен Доставчик +1.32/MWh</t>
  </si>
  <si>
    <t>Размер</t>
  </si>
  <si>
    <t>Активни Часове</t>
  </si>
  <si>
    <t>Цена</t>
  </si>
  <si>
    <t xml:space="preserve">Общо </t>
  </si>
  <si>
    <t>Цена на МWh</t>
  </si>
  <si>
    <t>MW</t>
  </si>
  <si>
    <t>лв / MWh</t>
  </si>
  <si>
    <t>Студен Резерв</t>
  </si>
  <si>
    <t>Балансиране Резерв</t>
  </si>
  <si>
    <t>УПР</t>
  </si>
  <si>
    <t>Технологични Разходи</t>
  </si>
  <si>
    <t>Възвращаемост</t>
  </si>
  <si>
    <t>Забележка:  Месечни търгове за резерв.  Няма задължително изкупуване на резерв, тъй като МИ1 и МИ3 са натоварени на капацитета за задължително изкупуване.</t>
  </si>
  <si>
    <t>Забележка:  Разходите по балансиране-резерв ще бъдат поети от производителите</t>
  </si>
  <si>
    <t>Забележка:  Разходите на ЕСО се разпределят на потреблението и износ от 6TWh</t>
  </si>
  <si>
    <t>ЧЕЗ</t>
  </si>
  <si>
    <t>ЕВН</t>
  </si>
  <si>
    <t>ЕНЕРГО ПРО</t>
  </si>
  <si>
    <t>ЗЛАТНИ ПЯСЪЦИ</t>
  </si>
  <si>
    <t>Общо Разходи, в т.ч.</t>
  </si>
  <si>
    <t>Общо Оперативни Разходи</t>
  </si>
  <si>
    <t>Закупена ел.енергия за технологични разходи</t>
  </si>
  <si>
    <t>Разходи за закупена енергия за технологични разходи</t>
  </si>
  <si>
    <t>Разходи за експлоатация и поддръжка</t>
  </si>
  <si>
    <t>Разходи за амортизации</t>
  </si>
  <si>
    <t>Регулаторна база на активите</t>
  </si>
  <si>
    <t>Призната балансова  стойност на активите</t>
  </si>
  <si>
    <t>Среден номинален размер на инвестициите</t>
  </si>
  <si>
    <t xml:space="preserve">Балансова стойност на активи придобити по безвъзмезден начин </t>
  </si>
  <si>
    <t>Норма на възвръщаемост на капитала</t>
  </si>
  <si>
    <t>Възвръщаемост</t>
  </si>
  <si>
    <t>Инфлация</t>
  </si>
  <si>
    <t>Х-фактор</t>
  </si>
  <si>
    <t>Z-фактор</t>
  </si>
  <si>
    <t>Y-фактор</t>
  </si>
  <si>
    <t>Корекция с Х и И (инфлация)</t>
  </si>
  <si>
    <t>Разпределение на корекционните фактори по тарифи</t>
  </si>
  <si>
    <t>Разходи за балансиране</t>
  </si>
  <si>
    <t>Необходими приходи</t>
  </si>
  <si>
    <t>Потребление (НН и СН)</t>
  </si>
  <si>
    <t>Забележка:  Цена Пренос влючва ниско и средно напрежение</t>
  </si>
  <si>
    <t>Цена Енергия</t>
  </si>
  <si>
    <t>Цена Пренос ВН</t>
  </si>
  <si>
    <t>Цена Пренос СН и НН</t>
  </si>
  <si>
    <t>Цена КС</t>
  </si>
  <si>
    <t>Крайна Цена</t>
  </si>
  <si>
    <t>на МWh</t>
  </si>
  <si>
    <t>Текуща Цена</t>
  </si>
  <si>
    <t>Забележка:  Балансирането на Крайния Снабдител и Пазпределителните Дружестваза регулиран пазар се поема от ЕСО.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</si>
</sst>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\ #,##0.00\ ;&quot; (&quot;#,##0.00\);&quot; -&quot;#\ ;@\ "/>
    <numFmt numFmtId="167" formatCode="\ #,##0\ ;&quot; (&quot;#,##0\);&quot; -&quot;#\ ;@\ "/>
    <numFmt numFmtId="168" formatCode="0%"/>
    <numFmt numFmtId="169" formatCode="0.00%"/>
    <numFmt numFmtId="170" formatCode="@"/>
    <numFmt numFmtId="171" formatCode="0.0%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23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23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2">
      <alignment/>
      <protection/>
    </xf>
    <xf numFmtId="167" fontId="1" fillId="2" borderId="0" xfId="15" applyNumberFormat="1" applyFont="1" applyFill="1" applyBorder="1" applyAlignment="1" applyProtection="1">
      <alignment/>
      <protection/>
    </xf>
    <xf numFmtId="168" fontId="1" fillId="0" borderId="0" xfId="19" applyFont="1" applyFill="1" applyBorder="1" applyAlignment="1" applyProtection="1">
      <alignment/>
      <protection/>
    </xf>
    <xf numFmtId="164" fontId="2" fillId="0" borderId="0" xfId="22" applyFont="1">
      <alignment/>
      <protection/>
    </xf>
    <xf numFmtId="164" fontId="2" fillId="0" borderId="0" xfId="22" applyFont="1" applyBorder="1" applyAlignment="1">
      <alignment horizontal="center"/>
      <protection/>
    </xf>
    <xf numFmtId="164" fontId="2" fillId="0" borderId="0" xfId="22" applyFont="1" applyAlignment="1">
      <alignment horizontal="center"/>
      <protection/>
    </xf>
    <xf numFmtId="164" fontId="1" fillId="0" borderId="0" xfId="22" applyAlignment="1">
      <alignment horizontal="center"/>
      <protection/>
    </xf>
    <xf numFmtId="167" fontId="1" fillId="0" borderId="0" xfId="15" applyNumberFormat="1" applyFont="1" applyFill="1" applyBorder="1" applyAlignment="1" applyProtection="1">
      <alignment/>
      <protection/>
    </xf>
    <xf numFmtId="166" fontId="1" fillId="2" borderId="0" xfId="15" applyNumberFormat="1" applyFont="1" applyFill="1" applyBorder="1" applyAlignment="1" applyProtection="1">
      <alignment/>
      <protection/>
    </xf>
    <xf numFmtId="168" fontId="1" fillId="0" borderId="0" xfId="19" applyFont="1" applyFill="1" applyBorder="1" applyAlignment="1" applyProtection="1">
      <alignment horizontal="center"/>
      <protection/>
    </xf>
    <xf numFmtId="168" fontId="1" fillId="0" borderId="0" xfId="22" applyNumberFormat="1" applyFont="1">
      <alignment/>
      <protection/>
    </xf>
    <xf numFmtId="167" fontId="2" fillId="0" borderId="0" xfId="15" applyNumberFormat="1" applyFont="1" applyFill="1" applyBorder="1" applyAlignment="1" applyProtection="1">
      <alignment/>
      <protection/>
    </xf>
    <xf numFmtId="166" fontId="2" fillId="0" borderId="0" xfId="15" applyFont="1" applyFill="1" applyBorder="1" applyAlignment="1" applyProtection="1">
      <alignment/>
      <protection/>
    </xf>
    <xf numFmtId="169" fontId="2" fillId="0" borderId="0" xfId="19" applyNumberFormat="1" applyFont="1" applyFill="1" applyBorder="1" applyAlignment="1" applyProtection="1">
      <alignment/>
      <protection/>
    </xf>
    <xf numFmtId="166" fontId="1" fillId="0" borderId="0" xfId="15" applyNumberFormat="1" applyFont="1" applyFill="1" applyBorder="1" applyAlignment="1" applyProtection="1">
      <alignment/>
      <protection/>
    </xf>
    <xf numFmtId="167" fontId="1" fillId="0" borderId="0" xfId="15" applyNumberFormat="1" applyFont="1" applyFill="1" applyBorder="1" applyAlignment="1" applyProtection="1">
      <alignment horizontal="center"/>
      <protection/>
    </xf>
    <xf numFmtId="166" fontId="1" fillId="3" borderId="0" xfId="15" applyNumberFormat="1" applyFont="1" applyFill="1" applyBorder="1" applyAlignment="1" applyProtection="1">
      <alignment/>
      <protection/>
    </xf>
    <xf numFmtId="170" fontId="1" fillId="0" borderId="0" xfId="22" applyNumberFormat="1" applyFont="1" applyBorder="1" applyAlignment="1">
      <alignment horizontal="center" wrapText="1"/>
      <protection/>
    </xf>
    <xf numFmtId="164" fontId="1" fillId="0" borderId="0" xfId="22" applyFont="1">
      <alignment/>
      <protection/>
    </xf>
    <xf numFmtId="164" fontId="3" fillId="0" borderId="0" xfId="22" applyFont="1">
      <alignment/>
      <protection/>
    </xf>
    <xf numFmtId="164" fontId="3" fillId="0" borderId="0" xfId="22" applyFont="1" applyAlignment="1">
      <alignment horizontal="center"/>
      <protection/>
    </xf>
    <xf numFmtId="167" fontId="3" fillId="0" borderId="0" xfId="15" applyNumberFormat="1" applyFont="1" applyFill="1" applyBorder="1" applyAlignment="1" applyProtection="1">
      <alignment/>
      <protection/>
    </xf>
    <xf numFmtId="167" fontId="1" fillId="0" borderId="0" xfId="22" applyNumberFormat="1">
      <alignment/>
      <protection/>
    </xf>
    <xf numFmtId="167" fontId="2" fillId="0" borderId="0" xfId="22" applyNumberFormat="1" applyFont="1">
      <alignment/>
      <protection/>
    </xf>
    <xf numFmtId="166" fontId="2" fillId="0" borderId="0" xfId="22" applyNumberFormat="1" applyFont="1">
      <alignment/>
      <protection/>
    </xf>
    <xf numFmtId="164" fontId="4" fillId="0" borderId="0" xfId="22" applyFont="1">
      <alignment/>
      <protection/>
    </xf>
    <xf numFmtId="164" fontId="5" fillId="4" borderId="1" xfId="21" applyFont="1" applyFill="1" applyBorder="1" applyAlignment="1">
      <alignment wrapText="1"/>
      <protection/>
    </xf>
    <xf numFmtId="167" fontId="4" fillId="0" borderId="0" xfId="15" applyNumberFormat="1" applyFont="1" applyFill="1" applyBorder="1" applyAlignment="1" applyProtection="1">
      <alignment/>
      <protection/>
    </xf>
    <xf numFmtId="164" fontId="6" fillId="4" borderId="1" xfId="21" applyFont="1" applyFill="1" applyBorder="1" applyAlignment="1">
      <alignment wrapText="1"/>
      <protection/>
    </xf>
    <xf numFmtId="170" fontId="6" fillId="4" borderId="1" xfId="21" applyNumberFormat="1" applyFont="1" applyFill="1" applyBorder="1" applyAlignment="1">
      <alignment wrapText="1"/>
      <protection/>
    </xf>
    <xf numFmtId="164" fontId="6" fillId="4" borderId="1" xfId="21" applyFont="1" applyFill="1" applyBorder="1" applyAlignment="1">
      <alignment horizontal="left" wrapText="1"/>
      <protection/>
    </xf>
    <xf numFmtId="167" fontId="4" fillId="2" borderId="0" xfId="15" applyNumberFormat="1" applyFont="1" applyFill="1" applyBorder="1" applyAlignment="1" applyProtection="1">
      <alignment/>
      <protection/>
    </xf>
    <xf numFmtId="164" fontId="5" fillId="4" borderId="1" xfId="21" applyFont="1" applyFill="1" applyBorder="1" applyAlignment="1">
      <alignment horizontal="left" wrapText="1"/>
      <protection/>
    </xf>
    <xf numFmtId="164" fontId="6" fillId="4" borderId="1" xfId="20" applyFont="1" applyFill="1" applyBorder="1">
      <alignment/>
      <protection/>
    </xf>
    <xf numFmtId="164" fontId="6" fillId="4" borderId="1" xfId="20" applyFont="1" applyFill="1" applyBorder="1" applyAlignment="1">
      <alignment horizontal="left" vertical="center" wrapText="1"/>
      <protection/>
    </xf>
    <xf numFmtId="168" fontId="1" fillId="2" borderId="0" xfId="19" applyFont="1" applyFill="1" applyBorder="1" applyAlignment="1" applyProtection="1">
      <alignment/>
      <protection/>
    </xf>
    <xf numFmtId="168" fontId="4" fillId="2" borderId="0" xfId="19" applyFont="1" applyFill="1" applyBorder="1" applyAlignment="1" applyProtection="1">
      <alignment/>
      <protection/>
    </xf>
    <xf numFmtId="164" fontId="5" fillId="4" borderId="1" xfId="21" applyFont="1" applyFill="1" applyBorder="1" applyAlignment="1">
      <alignment horizontal="right" wrapText="1"/>
      <protection/>
    </xf>
    <xf numFmtId="166" fontId="2" fillId="0" borderId="0" xfId="15" applyNumberFormat="1" applyFont="1" applyFill="1" applyBorder="1" applyAlignment="1" applyProtection="1">
      <alignment/>
      <protection/>
    </xf>
    <xf numFmtId="166" fontId="7" fillId="0" borderId="0" xfId="15" applyNumberFormat="1" applyFont="1" applyFill="1" applyBorder="1" applyAlignment="1" applyProtection="1">
      <alignment/>
      <protection/>
    </xf>
    <xf numFmtId="166" fontId="1" fillId="0" borderId="0" xfId="22" applyNumberFormat="1">
      <alignment/>
      <protection/>
    </xf>
    <xf numFmtId="166" fontId="1" fillId="0" borderId="0" xfId="15" applyFont="1" applyFill="1" applyBorder="1" applyAlignment="1" applyProtection="1">
      <alignment/>
      <protection/>
    </xf>
    <xf numFmtId="171" fontId="1" fillId="0" borderId="0" xfId="19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EVN_ERP_08" xfId="20"/>
    <cellStyle name="Normal_модел ЕРД_2007g.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3">
      <selection activeCell="D26" sqref="D26"/>
    </sheetView>
  </sheetViews>
  <sheetFormatPr defaultColWidth="9.140625" defaultRowHeight="12.75"/>
  <cols>
    <col min="1" max="1" width="28.00390625" style="1" customWidth="1"/>
    <col min="2" max="2" width="15.7109375" style="1" customWidth="1"/>
    <col min="3" max="16384" width="9.421875" style="1" customWidth="1"/>
  </cols>
  <sheetData>
    <row r="1" spans="2:3" ht="12.75">
      <c r="B1" s="1" t="s">
        <v>0</v>
      </c>
      <c r="C1" s="1" t="s">
        <v>1</v>
      </c>
    </row>
    <row r="2" spans="1:3" ht="12.75">
      <c r="A2" s="1" t="s">
        <v>2</v>
      </c>
      <c r="B2" s="2">
        <v>33383946</v>
      </c>
      <c r="C2" s="3">
        <f>B2/$B$2</f>
        <v>1</v>
      </c>
    </row>
    <row r="3" spans="1:3" ht="12.75">
      <c r="A3" s="1" t="s">
        <v>3</v>
      </c>
      <c r="B3" s="2">
        <v>21769775</v>
      </c>
      <c r="C3" s="3">
        <f>B3/$B$2</f>
        <v>0.6521031096803236</v>
      </c>
    </row>
    <row r="4" spans="1:3" ht="12.75">
      <c r="A4" s="1" t="s">
        <v>4</v>
      </c>
      <c r="B4" s="2">
        <v>11614171</v>
      </c>
      <c r="C4" s="3">
        <f>B4/$B$2</f>
        <v>0.3478968903196764</v>
      </c>
    </row>
    <row r="7" s="4" customFormat="1" ht="12.75">
      <c r="A7" s="4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5" sqref="B5"/>
    </sheetView>
  </sheetViews>
  <sheetFormatPr defaultColWidth="9.140625" defaultRowHeight="12.75"/>
  <cols>
    <col min="1" max="1" width="39.421875" style="1" customWidth="1"/>
    <col min="2" max="2" width="36.421875" style="1" customWidth="1"/>
    <col min="3" max="3" width="24.57421875" style="1" customWidth="1"/>
    <col min="4" max="4" width="23.28125" style="1" customWidth="1"/>
    <col min="5" max="8" width="18.00390625" style="1" customWidth="1"/>
    <col min="9" max="9" width="33.00390625" style="1" customWidth="1"/>
    <col min="10" max="16384" width="9.421875" style="1" customWidth="1"/>
  </cols>
  <sheetData>
    <row r="1" spans="2:9" ht="12.75">
      <c r="B1" s="4" t="s">
        <v>6</v>
      </c>
      <c r="C1" s="5" t="s">
        <v>7</v>
      </c>
      <c r="D1" s="5"/>
      <c r="E1" s="4" t="s">
        <v>8</v>
      </c>
      <c r="F1" s="4" t="s">
        <v>9</v>
      </c>
      <c r="G1" s="6" t="s">
        <v>10</v>
      </c>
      <c r="H1" s="6" t="s">
        <v>1</v>
      </c>
      <c r="I1" s="4" t="s">
        <v>11</v>
      </c>
    </row>
    <row r="2" spans="1:8" ht="12.75">
      <c r="A2" s="4" t="s">
        <v>12</v>
      </c>
      <c r="B2" s="4" t="s">
        <v>0</v>
      </c>
      <c r="C2" s="4" t="s">
        <v>13</v>
      </c>
      <c r="D2" s="4" t="s">
        <v>14</v>
      </c>
      <c r="G2" s="6" t="s">
        <v>15</v>
      </c>
      <c r="H2" s="6" t="s">
        <v>16</v>
      </c>
    </row>
    <row r="3" spans="1:8" ht="12.75">
      <c r="A3" s="4"/>
      <c r="B3" s="4"/>
      <c r="C3" s="4"/>
      <c r="D3" s="4"/>
      <c r="G3" s="7"/>
      <c r="H3" s="7"/>
    </row>
    <row r="4" spans="1:8" ht="12.75">
      <c r="A4" s="4" t="s">
        <v>17</v>
      </c>
      <c r="B4" s="4"/>
      <c r="C4" s="4"/>
      <c r="D4" s="4"/>
      <c r="G4" s="7"/>
      <c r="H4" s="7"/>
    </row>
    <row r="5" spans="1:9" ht="12.75">
      <c r="A5" s="1" t="s">
        <v>18</v>
      </c>
      <c r="B5" s="2">
        <v>4197854</v>
      </c>
      <c r="C5" s="8">
        <f>B5*Demand!$C$3</f>
        <v>2737433.647383985</v>
      </c>
      <c r="D5" s="8">
        <f>B5*Demand!$C$4</f>
        <v>1460420.352616015</v>
      </c>
      <c r="E5" s="9">
        <v>295.23</v>
      </c>
      <c r="F5" s="8">
        <f>E5*B5</f>
        <v>1239332436.42</v>
      </c>
      <c r="G5" s="10">
        <f>B5/$B$20</f>
        <v>0.12574469177490283</v>
      </c>
      <c r="H5" s="10">
        <f>F5/$F$20</f>
        <v>0.35955919973192346</v>
      </c>
      <c r="I5" s="1" t="s">
        <v>19</v>
      </c>
    </row>
    <row r="6" spans="1:9" ht="12.75">
      <c r="A6" s="1" t="s">
        <v>20</v>
      </c>
      <c r="B6" s="2">
        <f>756847+50*24*365</f>
        <v>1194847</v>
      </c>
      <c r="C6" s="8">
        <f>B6*Demand!$C$3</f>
        <v>779163.4442922056</v>
      </c>
      <c r="D6" s="8">
        <f>B6*Demand!$C$4</f>
        <v>415683.5557077944</v>
      </c>
      <c r="E6" s="9">
        <v>180</v>
      </c>
      <c r="F6" s="8">
        <f>E6*B6</f>
        <v>215072460</v>
      </c>
      <c r="G6" s="10">
        <f>B6/$B$20</f>
        <v>0.035791065561872164</v>
      </c>
      <c r="H6" s="10">
        <f>F6/$F$20</f>
        <v>0.062397528967578116</v>
      </c>
      <c r="I6" s="1" t="s">
        <v>19</v>
      </c>
    </row>
    <row r="7" spans="1:9" ht="12.75">
      <c r="A7" s="1" t="s">
        <v>21</v>
      </c>
      <c r="B7" s="2">
        <v>513134</v>
      </c>
      <c r="C7" s="8">
        <f>B7*Demand!$C$3</f>
        <v>334616.2770827032</v>
      </c>
      <c r="D7" s="8">
        <f>B7*Demand!$C$4</f>
        <v>178517.72291729684</v>
      </c>
      <c r="E7" s="9">
        <v>153.79</v>
      </c>
      <c r="F7" s="8">
        <f>E7*B7</f>
        <v>78914877.86</v>
      </c>
      <c r="G7" s="10">
        <f>B7/$B$20</f>
        <v>0.015370681464677663</v>
      </c>
      <c r="H7" s="10">
        <f>F7/$F$20</f>
        <v>0.0228950437319694</v>
      </c>
      <c r="I7" s="1" t="s">
        <v>19</v>
      </c>
    </row>
    <row r="8" spans="1:9" ht="12.75">
      <c r="A8" s="1" t="s">
        <v>22</v>
      </c>
      <c r="B8" s="2">
        <v>324945</v>
      </c>
      <c r="C8" s="8">
        <f>B8*Demand!$C$3</f>
        <v>211897.64497507276</v>
      </c>
      <c r="D8" s="8">
        <f>B8*Demand!$C$4</f>
        <v>113047.35502492725</v>
      </c>
      <c r="E8" s="9">
        <v>99.74</v>
      </c>
      <c r="F8" s="8">
        <f>E8*B8</f>
        <v>32410014.299999997</v>
      </c>
      <c r="G8" s="10">
        <f>B8/$B$20</f>
        <v>0.009733570740858495</v>
      </c>
      <c r="H8" s="10">
        <f>F8/$F$20</f>
        <v>0.009402899869764222</v>
      </c>
      <c r="I8" s="1" t="s">
        <v>19</v>
      </c>
    </row>
    <row r="9" spans="1:9" ht="12.75">
      <c r="A9" s="1" t="s">
        <v>23</v>
      </c>
      <c r="B9" s="2">
        <v>1539500</v>
      </c>
      <c r="C9" s="8">
        <f>B9*Demand!$C$3</f>
        <v>1003912.7373528582</v>
      </c>
      <c r="D9" s="8">
        <f>B9*Demand!$C$4</f>
        <v>535587.2626471418</v>
      </c>
      <c r="E9" s="9">
        <v>60</v>
      </c>
      <c r="F9" s="8">
        <f>E9*B9</f>
        <v>92370000</v>
      </c>
      <c r="G9" s="10">
        <f>B9/$B$20</f>
        <v>0.04611497993676362</v>
      </c>
      <c r="H9" s="10">
        <f>F9/$F$20</f>
        <v>0.026798687989783493</v>
      </c>
      <c r="I9" s="1" t="s">
        <v>19</v>
      </c>
    </row>
    <row r="10" spans="1:9" ht="12.75">
      <c r="A10" s="1" t="s">
        <v>24</v>
      </c>
      <c r="B10" s="2">
        <v>3953642</v>
      </c>
      <c r="C10" s="8">
        <f>B10*Demand!$C$3</f>
        <v>2578182.2427627337</v>
      </c>
      <c r="D10" s="8">
        <f>B10*Demand!$C$4</f>
        <v>1375459.757237266</v>
      </c>
      <c r="E10" s="9">
        <v>129.33</v>
      </c>
      <c r="F10" s="8">
        <f>E10*B10</f>
        <v>511324519.8600001</v>
      </c>
      <c r="G10" s="10">
        <f>B10/$B$20</f>
        <v>0.11842943910824683</v>
      </c>
      <c r="H10" s="10">
        <f>F10/$F$20</f>
        <v>0.14834715025716136</v>
      </c>
      <c r="I10" s="11" t="s">
        <v>25</v>
      </c>
    </row>
    <row r="11" spans="1:9" ht="12.75">
      <c r="A11" s="1" t="s">
        <v>26</v>
      </c>
      <c r="B11" s="2">
        <v>5238875</v>
      </c>
      <c r="C11" s="8">
        <f>B11*Demand!$C$3</f>
        <v>3416286.678726505</v>
      </c>
      <c r="D11" s="8">
        <f>B11*Demand!$C$4</f>
        <v>1822588.3212734947</v>
      </c>
      <c r="E11" s="9">
        <v>88.5</v>
      </c>
      <c r="F11" s="8">
        <f>E11*B11</f>
        <v>463640437.5</v>
      </c>
      <c r="G11" s="10">
        <f>B11/$B$20</f>
        <v>0.1569279737032884</v>
      </c>
      <c r="H11" s="10">
        <f>F11/$F$20</f>
        <v>0.13451288756099614</v>
      </c>
      <c r="I11" s="11" t="s">
        <v>27</v>
      </c>
    </row>
    <row r="12" spans="1:8" ht="12.75">
      <c r="A12" s="4" t="s">
        <v>28</v>
      </c>
      <c r="B12" s="12">
        <f>SUM(B5:B11)</f>
        <v>16962797</v>
      </c>
      <c r="C12" s="12">
        <f>B12*Demand!$C$3</f>
        <v>11061492.672576064</v>
      </c>
      <c r="D12" s="12">
        <f>B12*Demand!$C$4</f>
        <v>5901304.327423936</v>
      </c>
      <c r="E12" s="13">
        <f>F12/B12</f>
        <v>155.2258596232685</v>
      </c>
      <c r="F12" s="12">
        <f>SUM(F5:F11)</f>
        <v>2633064745.94</v>
      </c>
      <c r="G12" s="14">
        <f>SUM(G5:G11)</f>
        <v>0.50811240229061</v>
      </c>
      <c r="H12" s="14">
        <f>SUM(H5:H11)</f>
        <v>0.7639133981091761</v>
      </c>
    </row>
    <row r="13" spans="2:8" ht="12.75">
      <c r="B13" s="8"/>
      <c r="C13" s="15"/>
      <c r="D13" s="15"/>
      <c r="E13" s="8"/>
      <c r="F13" s="8"/>
      <c r="G13" s="16"/>
      <c r="H13" s="16"/>
    </row>
    <row r="14" spans="1:8" ht="12.75">
      <c r="A14" s="4" t="s">
        <v>29</v>
      </c>
      <c r="B14" s="8"/>
      <c r="C14" s="15"/>
      <c r="D14" s="15"/>
      <c r="E14" s="8"/>
      <c r="F14" s="8"/>
      <c r="G14" s="16"/>
      <c r="H14" s="16"/>
    </row>
    <row r="15" spans="1:9" ht="12.75" customHeight="1">
      <c r="A15" s="1" t="s">
        <v>30</v>
      </c>
      <c r="B15" s="2">
        <v>500000</v>
      </c>
      <c r="C15" s="15">
        <f>B15*Demand!$C$3</f>
        <v>326051.5548401618</v>
      </c>
      <c r="D15" s="17">
        <f>B15*Demand!$C$4</f>
        <v>173948.44515983821</v>
      </c>
      <c r="E15" s="9">
        <v>89.19</v>
      </c>
      <c r="F15" s="8">
        <f>E15*B15</f>
        <v>44595000</v>
      </c>
      <c r="G15" s="10">
        <f>B15/$B$20</f>
        <v>0.014977258829738103</v>
      </c>
      <c r="H15" s="10">
        <f>F15/$F$20</f>
        <v>0.012938047969085145</v>
      </c>
      <c r="I15" s="18" t="s">
        <v>31</v>
      </c>
    </row>
    <row r="16" spans="1:9" ht="12.75">
      <c r="A16" s="19" t="s">
        <v>32</v>
      </c>
      <c r="B16" s="2">
        <v>2800000</v>
      </c>
      <c r="C16" s="15">
        <f>B16*Demand!$C$3</f>
        <v>1825888.707104906</v>
      </c>
      <c r="D16" s="17">
        <f>B16*Demand!$C$4</f>
        <v>974111.2928950939</v>
      </c>
      <c r="E16" s="9">
        <v>67.57</v>
      </c>
      <c r="F16" s="8">
        <f>E16*B16</f>
        <v>189195999.99999997</v>
      </c>
      <c r="G16" s="10">
        <f>B16/$B$20</f>
        <v>0.08387264944653337</v>
      </c>
      <c r="H16" s="10">
        <f>F16/$F$20</f>
        <v>0.054890165344972146</v>
      </c>
      <c r="I16" s="18"/>
    </row>
    <row r="17" spans="1:9" ht="12.75">
      <c r="A17" s="19" t="s">
        <v>33</v>
      </c>
      <c r="B17" s="2">
        <f>B20-B12-B15-B16</f>
        <v>13121149</v>
      </c>
      <c r="C17" s="15">
        <f>B17*Demand!$C$3</f>
        <v>8556342.065478869</v>
      </c>
      <c r="D17" s="17">
        <f>B17*Demand!$C$4</f>
        <v>4564806.934521132</v>
      </c>
      <c r="E17" s="9">
        <v>44.2</v>
      </c>
      <c r="F17" s="8">
        <f>E17*B17</f>
        <v>579954785.8000001</v>
      </c>
      <c r="G17" s="10">
        <f>B17/$B$20</f>
        <v>0.39303768943311856</v>
      </c>
      <c r="H17" s="10">
        <f>F17/$F$20</f>
        <v>0.16825838857676648</v>
      </c>
      <c r="I17" s="18"/>
    </row>
    <row r="18" spans="1:9" ht="12.75">
      <c r="A18" s="4" t="s">
        <v>34</v>
      </c>
      <c r="B18" s="12">
        <f>SUM(B15:B17)</f>
        <v>16421149</v>
      </c>
      <c r="C18" s="12">
        <f>SUM(C15:C17)</f>
        <v>10708282.327423938</v>
      </c>
      <c r="D18" s="12">
        <f>SUM(D15:D17)</f>
        <v>5712866.672576064</v>
      </c>
      <c r="E18" s="13">
        <f>F18/B18</f>
        <v>49.55474101111926</v>
      </c>
      <c r="F18" s="12">
        <f>SUM(F15:F17)</f>
        <v>813745785.8000001</v>
      </c>
      <c r="G18" s="14">
        <f>SUM(G15:G17)</f>
        <v>0.49188759770939006</v>
      </c>
      <c r="H18" s="14">
        <f>SUM(H15:H17)</f>
        <v>0.23608660189082378</v>
      </c>
      <c r="I18" s="18"/>
    </row>
    <row r="19" spans="2:8" ht="12.75">
      <c r="B19" s="8"/>
      <c r="C19" s="15">
        <f>B19*Demand!$C$3</f>
        <v>0</v>
      </c>
      <c r="D19" s="15">
        <f>B19*Demand!$C$4</f>
        <v>0</v>
      </c>
      <c r="E19" s="8"/>
      <c r="F19" s="8"/>
      <c r="G19" s="8"/>
      <c r="H19" s="8"/>
    </row>
    <row r="20" spans="1:8" ht="12.75">
      <c r="A20" s="4" t="s">
        <v>35</v>
      </c>
      <c r="B20" s="12">
        <f>Demand!B2</f>
        <v>33383946</v>
      </c>
      <c r="C20" s="12">
        <f>C18+C12</f>
        <v>21769775</v>
      </c>
      <c r="D20" s="12">
        <f>D18+D12</f>
        <v>11614171</v>
      </c>
      <c r="E20" s="13">
        <f>F20/B20</f>
        <v>103.2475469418744</v>
      </c>
      <c r="F20" s="12">
        <f>F12+F18</f>
        <v>3446810531.7400002</v>
      </c>
      <c r="G20" s="8"/>
      <c r="H20" s="8"/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4" t="s">
        <v>36</v>
      </c>
      <c r="B22" s="8"/>
      <c r="C22" s="8"/>
      <c r="D22" s="8"/>
      <c r="E22" s="13">
        <f>E20+1.32</f>
        <v>104.5675469418744</v>
      </c>
      <c r="F22" s="8"/>
      <c r="G22" s="8"/>
      <c r="H22" s="8"/>
    </row>
    <row r="23" spans="2:8" ht="12.75">
      <c r="B23" s="8"/>
      <c r="C23" s="8"/>
      <c r="D23" s="8"/>
      <c r="E23" s="8"/>
      <c r="F23" s="8"/>
      <c r="G23" s="8"/>
      <c r="H23" s="8"/>
    </row>
    <row r="24" spans="2:8" ht="12.75">
      <c r="B24" s="8"/>
      <c r="C24" s="8"/>
      <c r="D24" s="8"/>
      <c r="E24" s="8"/>
      <c r="F24" s="8"/>
      <c r="G24" s="8"/>
      <c r="H24" s="8"/>
    </row>
    <row r="25" spans="2:8" ht="12.75">
      <c r="B25" s="8"/>
      <c r="C25" s="8"/>
      <c r="D25" s="8"/>
      <c r="E25" s="8"/>
      <c r="F25" s="8"/>
      <c r="G25" s="8"/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</sheetData>
  <sheetProtection selectLockedCells="1" selectUnlockedCells="1"/>
  <mergeCells count="2">
    <mergeCell ref="C1:D1"/>
    <mergeCell ref="I15:I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26" sqref="B26"/>
    </sheetView>
  </sheetViews>
  <sheetFormatPr defaultColWidth="9.140625" defaultRowHeight="12.75"/>
  <cols>
    <col min="1" max="1" width="25.140625" style="1" customWidth="1"/>
    <col min="2" max="3" width="18.57421875" style="1" customWidth="1"/>
    <col min="4" max="4" width="20.7109375" style="1" customWidth="1"/>
    <col min="5" max="5" width="22.57421875" style="1" customWidth="1"/>
    <col min="6" max="6" width="31.7109375" style="1" customWidth="1"/>
    <col min="7" max="16384" width="9.421875" style="1" customWidth="1"/>
  </cols>
  <sheetData>
    <row r="1" spans="2:6" ht="12.75">
      <c r="B1" s="6" t="s">
        <v>37</v>
      </c>
      <c r="C1" s="6" t="s">
        <v>38</v>
      </c>
      <c r="D1" s="6" t="s">
        <v>39</v>
      </c>
      <c r="E1" s="6" t="s">
        <v>40</v>
      </c>
      <c r="F1" s="6" t="s">
        <v>41</v>
      </c>
    </row>
    <row r="2" spans="2:5" ht="12.75">
      <c r="B2" s="6" t="s">
        <v>42</v>
      </c>
      <c r="C2" s="6"/>
      <c r="D2" s="6" t="s">
        <v>43</v>
      </c>
      <c r="E2" s="6" t="s">
        <v>16</v>
      </c>
    </row>
    <row r="3" spans="1:5" ht="12.75">
      <c r="A3" s="19" t="s">
        <v>44</v>
      </c>
      <c r="B3" s="7">
        <v>840</v>
      </c>
      <c r="C3" s="7">
        <f>365*24</f>
        <v>8760</v>
      </c>
      <c r="D3" s="7">
        <v>26</v>
      </c>
      <c r="E3" s="8">
        <f>D3*C3*B3</f>
        <v>191318400</v>
      </c>
    </row>
    <row r="4" spans="1:5" ht="12.75">
      <c r="A4" s="20" t="s">
        <v>45</v>
      </c>
      <c r="B4" s="21">
        <v>200</v>
      </c>
      <c r="C4" s="21">
        <v>8760</v>
      </c>
      <c r="D4" s="21">
        <v>26</v>
      </c>
      <c r="E4" s="22">
        <f>B4*C4*D4</f>
        <v>45552000</v>
      </c>
    </row>
    <row r="5" spans="1:5" ht="12.75">
      <c r="A5" s="19" t="s">
        <v>46</v>
      </c>
      <c r="E5" s="8">
        <v>277490000</v>
      </c>
    </row>
    <row r="6" spans="1:5" ht="12.75">
      <c r="A6" s="19" t="s">
        <v>47</v>
      </c>
      <c r="E6" s="8">
        <v>38549006</v>
      </c>
    </row>
    <row r="7" spans="1:5" ht="12.75">
      <c r="A7" s="19" t="s">
        <v>48</v>
      </c>
      <c r="E7" s="23">
        <f>0.03*1600000000</f>
        <v>48000000</v>
      </c>
    </row>
    <row r="8" spans="1:6" ht="12.75">
      <c r="A8" s="4" t="s">
        <v>9</v>
      </c>
      <c r="B8" s="4"/>
      <c r="C8" s="4"/>
      <c r="D8" s="4"/>
      <c r="E8" s="24">
        <f>SUM(E3:E7)</f>
        <v>600909406</v>
      </c>
      <c r="F8" s="25">
        <f>(E8-E4)/(Demand!$B$2+6000000)</f>
        <v>14.101111300528393</v>
      </c>
    </row>
    <row r="10" ht="12.75">
      <c r="A10" s="1" t="s">
        <v>49</v>
      </c>
    </row>
    <row r="11" ht="12.75">
      <c r="A11" s="20" t="s">
        <v>50</v>
      </c>
    </row>
    <row r="12" ht="12.75">
      <c r="A12" s="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J14" sqref="J14"/>
    </sheetView>
  </sheetViews>
  <sheetFormatPr defaultColWidth="9.140625" defaultRowHeight="12.75"/>
  <cols>
    <col min="1" max="1" width="51.57421875" style="1" customWidth="1"/>
    <col min="2" max="2" width="20.7109375" style="1" customWidth="1"/>
    <col min="3" max="3" width="25.00390625" style="8" customWidth="1"/>
    <col min="4" max="5" width="19.28125" style="1" customWidth="1"/>
    <col min="6" max="6" width="18.57421875" style="26" customWidth="1"/>
    <col min="7" max="7" width="17.8515625" style="1" customWidth="1"/>
    <col min="8" max="16384" width="9.421875" style="1" customWidth="1"/>
  </cols>
  <sheetData>
    <row r="1" spans="2:6" ht="12.75">
      <c r="B1" s="1" t="s">
        <v>52</v>
      </c>
      <c r="C1" s="8" t="s">
        <v>53</v>
      </c>
      <c r="D1" s="1" t="s">
        <v>54</v>
      </c>
      <c r="E1" s="1" t="s">
        <v>55</v>
      </c>
      <c r="F1" s="26" t="s">
        <v>35</v>
      </c>
    </row>
    <row r="2" spans="1:6" ht="12.75">
      <c r="A2" s="27" t="s">
        <v>56</v>
      </c>
      <c r="B2" s="8">
        <f>B3+B5</f>
        <v>345865173.19377184</v>
      </c>
      <c r="C2" s="8">
        <f>C3+C5</f>
        <v>308117420.8741845</v>
      </c>
      <c r="D2" s="8">
        <f>D3+D5</f>
        <v>229066615.93567982</v>
      </c>
      <c r="E2" s="8">
        <f>E3+E5</f>
        <v>1881038.1582914093</v>
      </c>
      <c r="F2" s="28">
        <f>SUM(B2:D2)</f>
        <v>883049210.0036361</v>
      </c>
    </row>
    <row r="3" spans="1:6" ht="12.75">
      <c r="A3" s="27" t="s">
        <v>57</v>
      </c>
      <c r="B3" s="8">
        <f>SUM(B6+B7)</f>
        <v>197456000</v>
      </c>
      <c r="C3" s="8">
        <f>SUM(C6+C7)</f>
        <v>178017806.78</v>
      </c>
      <c r="D3" s="8">
        <f>SUM(D6+D7)</f>
        <v>135305038</v>
      </c>
      <c r="E3" s="8">
        <f>SUM(E6+E7)</f>
        <v>1476000</v>
      </c>
      <c r="F3" s="28">
        <f>SUM(B3:D3)</f>
        <v>510778844.78</v>
      </c>
    </row>
    <row r="4" spans="1:6" ht="12.75">
      <c r="A4" s="29" t="s">
        <v>58</v>
      </c>
      <c r="B4" s="8">
        <f>(B23/0.88)*0.12</f>
        <v>1264685.727272727</v>
      </c>
      <c r="C4" s="8">
        <f>(C23/0.88)*0.12</f>
        <v>1108658.727272727</v>
      </c>
      <c r="D4" s="8">
        <v>799000</v>
      </c>
      <c r="E4" s="8">
        <f>(E23/0.95)*0.05</f>
        <v>3451.578947368421</v>
      </c>
      <c r="F4" s="28">
        <f>SUM(B4:E4)</f>
        <v>3175796.033492822</v>
      </c>
    </row>
    <row r="5" spans="1:6" ht="12.75">
      <c r="A5" s="30" t="s">
        <v>59</v>
      </c>
      <c r="B5" s="8">
        <f>B4*(Generation!$E$20+ESO!$F$8)</f>
        <v>148409173.19377187</v>
      </c>
      <c r="C5" s="8">
        <f>C4*(Generation!$E$20+ESO!$F$8)</f>
        <v>130099614.09418449</v>
      </c>
      <c r="D5" s="8">
        <f>D4*(Generation!$E$20+ESO!$F$8)</f>
        <v>93761577.93567982</v>
      </c>
      <c r="E5" s="8">
        <f>E4*(Generation!$E$20+ESO!$F$8)</f>
        <v>405038.1582914092</v>
      </c>
      <c r="F5" s="28">
        <f>SUM(B5:D5)</f>
        <v>372270365.22363615</v>
      </c>
    </row>
    <row r="6" spans="1:6" ht="12.75">
      <c r="A6" s="31" t="s">
        <v>60</v>
      </c>
      <c r="B6" s="2">
        <v>137043000</v>
      </c>
      <c r="C6" s="2">
        <v>102000000</v>
      </c>
      <c r="D6" s="2">
        <v>79043000</v>
      </c>
      <c r="E6" s="2">
        <v>927000</v>
      </c>
      <c r="F6" s="32">
        <f>SUM(B6:E6)</f>
        <v>319013000</v>
      </c>
    </row>
    <row r="7" spans="1:6" ht="12.75">
      <c r="A7" s="27" t="s">
        <v>61</v>
      </c>
      <c r="B7" s="2">
        <v>60413000</v>
      </c>
      <c r="C7" s="2">
        <v>76017806.78</v>
      </c>
      <c r="D7" s="2">
        <v>56262038</v>
      </c>
      <c r="E7" s="2">
        <v>549000</v>
      </c>
      <c r="F7" s="32">
        <f>SUM(B7:E7)</f>
        <v>193241844.78</v>
      </c>
    </row>
    <row r="8" spans="1:6" ht="12.75">
      <c r="A8" s="33" t="s">
        <v>62</v>
      </c>
      <c r="B8" s="2">
        <v>586405000</v>
      </c>
      <c r="C8" s="2">
        <v>625387000</v>
      </c>
      <c r="D8" s="2">
        <v>407381000</v>
      </c>
      <c r="E8" s="2">
        <v>3954000</v>
      </c>
      <c r="F8" s="32">
        <f>SUM(B8:E8)</f>
        <v>1623127000</v>
      </c>
    </row>
    <row r="9" spans="1:6" ht="12.75">
      <c r="A9" s="34" t="s">
        <v>63</v>
      </c>
      <c r="B9" s="2">
        <v>557861000</v>
      </c>
      <c r="C9" s="2">
        <v>737980000</v>
      </c>
      <c r="D9" s="2">
        <v>404226000</v>
      </c>
      <c r="E9" s="2">
        <v>3738000</v>
      </c>
      <c r="F9" s="32">
        <f>SUM(B9:E9)</f>
        <v>1703805000</v>
      </c>
    </row>
    <row r="10" spans="1:6" ht="12.75">
      <c r="A10" s="34" t="s">
        <v>64</v>
      </c>
      <c r="B10" s="2">
        <v>0</v>
      </c>
      <c r="C10" s="2">
        <v>0</v>
      </c>
      <c r="D10" s="2">
        <v>0</v>
      </c>
      <c r="E10" s="2"/>
      <c r="F10" s="32">
        <f>SUM(B10:D10)</f>
        <v>0</v>
      </c>
    </row>
    <row r="11" spans="1:6" ht="12.75">
      <c r="A11" s="35" t="s">
        <v>65</v>
      </c>
      <c r="B11" s="2">
        <v>0</v>
      </c>
      <c r="C11" s="2">
        <v>-141487000</v>
      </c>
      <c r="D11" s="2">
        <v>-19663000</v>
      </c>
      <c r="E11" s="2"/>
      <c r="F11" s="32">
        <f>SUM(B11:D11)</f>
        <v>-161150000</v>
      </c>
    </row>
    <row r="12" spans="1:6" ht="12.75">
      <c r="A12" s="33" t="s">
        <v>66</v>
      </c>
      <c r="B12" s="36">
        <v>0.03</v>
      </c>
      <c r="C12" s="36">
        <v>0.03</v>
      </c>
      <c r="D12" s="36">
        <v>0.03</v>
      </c>
      <c r="E12" s="36">
        <v>0.03</v>
      </c>
      <c r="F12" s="37">
        <v>0.03</v>
      </c>
    </row>
    <row r="13" spans="1:6" ht="12.75">
      <c r="A13" s="33" t="s">
        <v>67</v>
      </c>
      <c r="B13" s="8">
        <f>B12*B8</f>
        <v>17592150</v>
      </c>
      <c r="C13" s="8">
        <f>C12*C8</f>
        <v>18761610</v>
      </c>
      <c r="D13" s="8">
        <f>D12*D8</f>
        <v>12221430</v>
      </c>
      <c r="E13" s="8">
        <f>E12*E8</f>
        <v>118620</v>
      </c>
      <c r="F13" s="28">
        <f>SUM(B13:D13)</f>
        <v>48575190</v>
      </c>
    </row>
    <row r="14" spans="1:6" ht="12.75">
      <c r="A14" s="38" t="s">
        <v>68</v>
      </c>
      <c r="B14" s="2">
        <v>0</v>
      </c>
      <c r="C14" s="2">
        <v>0</v>
      </c>
      <c r="D14" s="2">
        <v>0</v>
      </c>
      <c r="E14" s="2"/>
      <c r="F14" s="32">
        <f>SUM(B14:D14)</f>
        <v>0</v>
      </c>
    </row>
    <row r="15" spans="1:6" ht="12.75">
      <c r="A15" s="38" t="s">
        <v>69</v>
      </c>
      <c r="B15" s="2">
        <v>0</v>
      </c>
      <c r="C15" s="2">
        <v>0</v>
      </c>
      <c r="D15" s="2">
        <v>0</v>
      </c>
      <c r="E15" s="2"/>
      <c r="F15" s="32">
        <f>SUM(B15:D15)</f>
        <v>0</v>
      </c>
    </row>
    <row r="16" spans="1:6" ht="12.75">
      <c r="A16" s="38" t="s">
        <v>70</v>
      </c>
      <c r="B16" s="2">
        <v>0</v>
      </c>
      <c r="C16" s="2">
        <v>0</v>
      </c>
      <c r="D16" s="2">
        <v>0</v>
      </c>
      <c r="E16" s="2"/>
      <c r="F16" s="32">
        <f>SUM(B16:D16)</f>
        <v>0</v>
      </c>
    </row>
    <row r="17" spans="1:6" ht="12.75">
      <c r="A17" s="38" t="s">
        <v>71</v>
      </c>
      <c r="B17" s="2">
        <v>0</v>
      </c>
      <c r="C17" s="2">
        <v>0</v>
      </c>
      <c r="D17" s="2">
        <v>-152408.107663551</v>
      </c>
      <c r="E17" s="2"/>
      <c r="F17" s="32">
        <f>SUM(B17:D17)</f>
        <v>-152408.107663551</v>
      </c>
    </row>
    <row r="18" spans="1:6" ht="12.75">
      <c r="A18" s="38" t="s">
        <v>72</v>
      </c>
      <c r="B18" s="2">
        <v>0</v>
      </c>
      <c r="C18" s="2">
        <v>0</v>
      </c>
      <c r="D18" s="2">
        <v>0</v>
      </c>
      <c r="E18" s="2"/>
      <c r="F18" s="32">
        <f>SUM(B18:D18)</f>
        <v>0</v>
      </c>
    </row>
    <row r="19" spans="1:6" ht="12.75">
      <c r="A19" s="38" t="s">
        <v>73</v>
      </c>
      <c r="B19" s="2">
        <v>0</v>
      </c>
      <c r="C19" s="2">
        <v>0</v>
      </c>
      <c r="D19" s="2">
        <v>0</v>
      </c>
      <c r="E19" s="2"/>
      <c r="F19" s="32">
        <f>SUM(B19:D19)</f>
        <v>0</v>
      </c>
    </row>
    <row r="20" spans="1:6" ht="12.75">
      <c r="A20" s="33" t="s">
        <v>74</v>
      </c>
      <c r="B20" s="2">
        <v>0</v>
      </c>
      <c r="C20" s="2">
        <v>0</v>
      </c>
      <c r="D20" s="2">
        <v>0</v>
      </c>
      <c r="E20" s="2"/>
      <c r="F20" s="32">
        <f>SUM(B20:D20)</f>
        <v>0</v>
      </c>
    </row>
    <row r="21" spans="1:7" ht="12.75">
      <c r="A21" s="33" t="s">
        <v>75</v>
      </c>
      <c r="B21" s="8">
        <f>B2+B13</f>
        <v>363457323.19377184</v>
      </c>
      <c r="C21" s="8">
        <f>C2+C13</f>
        <v>326879030.8741845</v>
      </c>
      <c r="D21" s="8">
        <f>D2+D13</f>
        <v>241288045.93567982</v>
      </c>
      <c r="E21" s="8">
        <f>E2+E13</f>
        <v>1999658.1582914093</v>
      </c>
      <c r="F21" s="28">
        <f>SUM(B21:D21)</f>
        <v>931624400.0036361</v>
      </c>
      <c r="G21" s="25"/>
    </row>
    <row r="23" spans="1:6" ht="12.75">
      <c r="A23" s="1" t="s">
        <v>76</v>
      </c>
      <c r="B23" s="2">
        <f>9274362</f>
        <v>9274362</v>
      </c>
      <c r="C23" s="2">
        <v>8130164</v>
      </c>
      <c r="D23" s="2">
        <v>5414160</v>
      </c>
      <c r="E23" s="2">
        <v>65580</v>
      </c>
      <c r="F23" s="32">
        <f>SUM(B23:E23)</f>
        <v>22884266</v>
      </c>
    </row>
    <row r="24" spans="1:6" ht="12.75">
      <c r="A24" s="4" t="s">
        <v>8</v>
      </c>
      <c r="B24" s="13">
        <f>B21/B23</f>
        <v>39.18946911860588</v>
      </c>
      <c r="C24" s="13">
        <f>C21/C23</f>
        <v>40.20571182502401</v>
      </c>
      <c r="D24" s="13">
        <f>D21/D23</f>
        <v>44.56610922759575</v>
      </c>
      <c r="E24" s="39">
        <f>E21/E23</f>
        <v>30.491890184376476</v>
      </c>
      <c r="F24" s="40">
        <f>F21/F23</f>
        <v>40.71025917998139</v>
      </c>
    </row>
    <row r="26" ht="12.75">
      <c r="B26" s="23"/>
    </row>
    <row r="27" spans="1:2" ht="12.75">
      <c r="A27" s="1" t="s">
        <v>77</v>
      </c>
      <c r="B27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J15" sqref="J15"/>
    </sheetView>
  </sheetViews>
  <sheetFormatPr defaultColWidth="9.140625" defaultRowHeight="12.75"/>
  <cols>
    <col min="1" max="1" width="33.00390625" style="1" customWidth="1"/>
    <col min="2" max="3" width="9.421875" style="1" customWidth="1"/>
    <col min="4" max="4" width="13.28125" style="1" customWidth="1"/>
    <col min="5" max="5" width="17.28125" style="1" customWidth="1"/>
    <col min="6" max="16384" width="9.421875" style="1" customWidth="1"/>
  </cols>
  <sheetData>
    <row r="1" spans="2:5" ht="12.75">
      <c r="B1" s="1" t="s">
        <v>52</v>
      </c>
      <c r="C1" s="1" t="s">
        <v>53</v>
      </c>
      <c r="D1" s="1" t="s">
        <v>54</v>
      </c>
      <c r="E1" s="1" t="s">
        <v>55</v>
      </c>
    </row>
    <row r="3" spans="1:5" ht="12.75">
      <c r="A3" s="1" t="s">
        <v>78</v>
      </c>
      <c r="B3" s="42">
        <f>Generation!E22</f>
        <v>104.5675469418744</v>
      </c>
      <c r="C3" s="41">
        <f>B3</f>
        <v>104.5675469418744</v>
      </c>
      <c r="D3" s="41">
        <f>C3</f>
        <v>104.5675469418744</v>
      </c>
      <c r="E3" s="41">
        <f>D3</f>
        <v>104.5675469418744</v>
      </c>
    </row>
    <row r="4" spans="1:5" ht="12.75">
      <c r="A4" s="1" t="s">
        <v>79</v>
      </c>
      <c r="B4" s="41">
        <f>ESO!F8</f>
        <v>14.101111300528393</v>
      </c>
      <c r="C4" s="41">
        <f>B4</f>
        <v>14.101111300528393</v>
      </c>
      <c r="D4" s="41">
        <f>C4</f>
        <v>14.101111300528393</v>
      </c>
      <c r="E4" s="41">
        <f>D4</f>
        <v>14.101111300528393</v>
      </c>
    </row>
    <row r="5" spans="1:5" ht="12.75">
      <c r="A5" s="1" t="s">
        <v>80</v>
      </c>
      <c r="B5" s="41">
        <f>Distribution!B24</f>
        <v>39.18946911860588</v>
      </c>
      <c r="C5" s="41">
        <f>Distribution!C24</f>
        <v>40.20571182502401</v>
      </c>
      <c r="D5" s="41">
        <f>Distribution!D24</f>
        <v>44.56610922759575</v>
      </c>
      <c r="E5" s="41">
        <f>Distribution!E24</f>
        <v>30.491890184376476</v>
      </c>
    </row>
    <row r="6" spans="1:5" ht="12.75">
      <c r="A6" s="1" t="s">
        <v>81</v>
      </c>
      <c r="B6" s="42">
        <f>0.03*B3</f>
        <v>3.1370264082562316</v>
      </c>
      <c r="C6" s="42">
        <f>0.03*C3</f>
        <v>3.1370264082562316</v>
      </c>
      <c r="D6" s="42">
        <f>0.03*D3</f>
        <v>3.1370264082562316</v>
      </c>
      <c r="E6" s="42">
        <f>0.03*E3</f>
        <v>3.1370264082562316</v>
      </c>
    </row>
    <row r="7" spans="1:6" ht="12.75">
      <c r="A7" s="4" t="s">
        <v>82</v>
      </c>
      <c r="B7" s="13">
        <f>SUM(B3:B6)</f>
        <v>160.9951537692649</v>
      </c>
      <c r="C7" s="13">
        <f>SUM(C3:C6)</f>
        <v>162.01139647568303</v>
      </c>
      <c r="D7" s="13">
        <f>SUM(D3:D6)</f>
        <v>166.37179387825478</v>
      </c>
      <c r="E7" s="13">
        <f>SUM(E3:E6)</f>
        <v>152.2975748350355</v>
      </c>
      <c r="F7" s="1" t="s">
        <v>83</v>
      </c>
    </row>
    <row r="9" spans="1:4" ht="12.75">
      <c r="A9" s="4" t="s">
        <v>84</v>
      </c>
      <c r="B9" s="4">
        <v>157.66</v>
      </c>
      <c r="C9" s="4">
        <v>161.21</v>
      </c>
      <c r="D9" s="4">
        <v>167.86</v>
      </c>
    </row>
    <row r="10" spans="2:4" ht="12.75">
      <c r="B10" s="43">
        <f>B7/B9-1</f>
        <v>0.021154089618577343</v>
      </c>
      <c r="C10" s="43">
        <f>C7/C9-1</f>
        <v>0.004971133773854053</v>
      </c>
      <c r="D10" s="43">
        <f>D7/D9-1</f>
        <v>-0.008865757903879667</v>
      </c>
    </row>
    <row r="12" ht="12.75">
      <c r="A12" s="1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